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C:\Users\barba\OneDrive\Escritorio\Documentos ultimos paper\"/>
    </mc:Choice>
  </mc:AlternateContent>
  <xr:revisionPtr revIDLastSave="0" documentId="13_ncr:1_{01F88305-1970-4A64-A02A-5D44CE8C14E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ARBOXILICOS" sheetId="18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2" i="18" l="1"/>
  <c r="Q33" i="18"/>
  <c r="Q34" i="18"/>
  <c r="Q35" i="18"/>
  <c r="Q36" i="18"/>
  <c r="Q37" i="18"/>
  <c r="Q38" i="18"/>
  <c r="Q31" i="18"/>
  <c r="Q45" i="18"/>
  <c r="Q46" i="18"/>
  <c r="Q47" i="18"/>
  <c r="Q48" i="18"/>
  <c r="Q49" i="18"/>
  <c r="Q50" i="18"/>
  <c r="Q51" i="18"/>
  <c r="Q44" i="18"/>
  <c r="Q58" i="18"/>
  <c r="Q59" i="18"/>
  <c r="Q60" i="18"/>
  <c r="Q61" i="18"/>
  <c r="Q62" i="18"/>
  <c r="Q63" i="18"/>
  <c r="Q64" i="18"/>
  <c r="Q57" i="18"/>
  <c r="M58" i="18"/>
  <c r="M59" i="18"/>
  <c r="M60" i="18"/>
  <c r="M61" i="18"/>
  <c r="M62" i="18"/>
  <c r="M63" i="18"/>
  <c r="M64" i="18"/>
  <c r="N58" i="18"/>
  <c r="N59" i="18"/>
  <c r="N60" i="18"/>
  <c r="N61" i="18"/>
  <c r="N62" i="18"/>
  <c r="N63" i="18"/>
  <c r="N64" i="18"/>
  <c r="O58" i="18"/>
  <c r="O59" i="18"/>
  <c r="O60" i="18"/>
  <c r="O61" i="18"/>
  <c r="O62" i="18"/>
  <c r="O63" i="18"/>
  <c r="O64" i="18"/>
  <c r="P58" i="18"/>
  <c r="P59" i="18"/>
  <c r="P60" i="18"/>
  <c r="P61" i="18"/>
  <c r="P62" i="18"/>
  <c r="P63" i="18"/>
  <c r="P64" i="18"/>
  <c r="P45" i="18"/>
  <c r="P46" i="18"/>
  <c r="P47" i="18"/>
  <c r="P48" i="18"/>
  <c r="P49" i="18"/>
  <c r="P50" i="18"/>
  <c r="P51" i="18"/>
  <c r="O45" i="18"/>
  <c r="O46" i="18"/>
  <c r="O47" i="18"/>
  <c r="O48" i="18"/>
  <c r="O49" i="18"/>
  <c r="O50" i="18"/>
  <c r="O51" i="18"/>
  <c r="N45" i="18"/>
  <c r="N46" i="18"/>
  <c r="N47" i="18"/>
  <c r="N48" i="18"/>
  <c r="N49" i="18"/>
  <c r="N50" i="18"/>
  <c r="N51" i="18"/>
  <c r="M45" i="18"/>
  <c r="M46" i="18"/>
  <c r="M47" i="18"/>
  <c r="M48" i="18"/>
  <c r="M49" i="18"/>
  <c r="M50" i="18"/>
  <c r="M51" i="18"/>
  <c r="P32" i="18"/>
  <c r="P33" i="18"/>
  <c r="P34" i="18"/>
  <c r="P35" i="18"/>
  <c r="P36" i="18"/>
  <c r="P37" i="18"/>
  <c r="P38" i="18"/>
  <c r="O32" i="18"/>
  <c r="O33" i="18"/>
  <c r="O34" i="18"/>
  <c r="O35" i="18"/>
  <c r="O36" i="18"/>
  <c r="O37" i="18"/>
  <c r="O38" i="18"/>
  <c r="N32" i="18"/>
  <c r="N33" i="18"/>
  <c r="N34" i="18"/>
  <c r="N35" i="18"/>
  <c r="N36" i="18"/>
  <c r="N37" i="18"/>
  <c r="N38" i="18"/>
  <c r="M32" i="18"/>
  <c r="M33" i="18"/>
  <c r="M34" i="18"/>
  <c r="M35" i="18"/>
  <c r="M36" i="18"/>
  <c r="M37" i="18"/>
  <c r="M38" i="18"/>
  <c r="P31" i="18"/>
  <c r="O31" i="18"/>
  <c r="N31" i="18"/>
  <c r="P44" i="18"/>
  <c r="O44" i="18"/>
  <c r="N44" i="18"/>
  <c r="N57" i="18"/>
  <c r="O57" i="18"/>
  <c r="P57" i="18"/>
  <c r="H9" i="18"/>
  <c r="G9" i="18"/>
  <c r="E9" i="18"/>
  <c r="M57" i="18"/>
  <c r="M44" i="18"/>
  <c r="M31" i="18"/>
  <c r="C9" i="18"/>
  <c r="C11" i="18"/>
  <c r="K58" i="18"/>
  <c r="K59" i="18"/>
  <c r="K60" i="18"/>
  <c r="K61" i="18"/>
  <c r="K62" i="18"/>
  <c r="K63" i="18"/>
  <c r="K64" i="18"/>
  <c r="K57" i="18"/>
  <c r="K31" i="18"/>
  <c r="L58" i="18"/>
  <c r="L59" i="18"/>
  <c r="L60" i="18"/>
  <c r="L61" i="18"/>
  <c r="L62" i="18"/>
  <c r="L63" i="18"/>
  <c r="L64" i="18"/>
  <c r="L57" i="18"/>
  <c r="L45" i="18"/>
  <c r="L46" i="18"/>
  <c r="L47" i="18"/>
  <c r="L48" i="18"/>
  <c r="L49" i="18"/>
  <c r="L50" i="18"/>
  <c r="L51" i="18"/>
  <c r="L44" i="18"/>
  <c r="F17" i="18"/>
  <c r="K38" i="18"/>
  <c r="K32" i="18"/>
  <c r="K33" i="18"/>
  <c r="K34" i="18"/>
  <c r="K35" i="18"/>
  <c r="K36" i="18"/>
  <c r="K37" i="18"/>
  <c r="F16" i="18"/>
  <c r="C5" i="18" l="1"/>
  <c r="D21" i="18"/>
  <c r="K9" i="18" l="1"/>
  <c r="F18" i="18"/>
  <c r="K11" i="18"/>
  <c r="B21" i="18"/>
  <c r="D22" i="18"/>
  <c r="I5" i="18"/>
  <c r="H5" i="18"/>
  <c r="G5" i="18"/>
  <c r="F5" i="18"/>
  <c r="E5" i="18"/>
  <c r="D5" i="18"/>
  <c r="F9" i="18" l="1"/>
  <c r="D9" i="18"/>
  <c r="I11" i="18"/>
  <c r="F11" i="18"/>
  <c r="G11" i="18"/>
  <c r="E11" i="18"/>
  <c r="I9" i="18"/>
  <c r="D11" i="18"/>
  <c r="H11" i="18"/>
  <c r="J9" i="18" l="1"/>
  <c r="J11" i="18"/>
  <c r="L11" i="18" l="1"/>
  <c r="C21" i="18"/>
  <c r="E21" i="18" s="1"/>
  <c r="L9" i="18"/>
  <c r="C22" i="18"/>
  <c r="E22" i="18" s="1"/>
</calcChain>
</file>

<file path=xl/sharedStrings.xml><?xml version="1.0" encoding="utf-8"?>
<sst xmlns="http://schemas.openxmlformats.org/spreadsheetml/2006/main" count="96" uniqueCount="51">
  <si>
    <t>Oxalic</t>
  </si>
  <si>
    <t>Malonic*</t>
  </si>
  <si>
    <t>Succínico</t>
  </si>
  <si>
    <t>Glycolic</t>
  </si>
  <si>
    <t>Formic</t>
  </si>
  <si>
    <t>Acetic</t>
  </si>
  <si>
    <t>Oxamic</t>
  </si>
  <si>
    <t>* No se puede diferenciar entre ácido malónico, glioxílico y málico; la cantidad obtenida puede corresponderse a una combinación de ambos.</t>
  </si>
  <si>
    <t>Datos</t>
  </si>
  <si>
    <t>Mw</t>
  </si>
  <si>
    <t>C number</t>
  </si>
  <si>
    <t>Mw©</t>
  </si>
  <si>
    <t>Detection limit (ppm)</t>
  </si>
  <si>
    <t>Lower</t>
  </si>
  <si>
    <t>Total ácidos carboxílicos</t>
  </si>
  <si>
    <t>Total experimental</t>
  </si>
  <si>
    <t xml:space="preserve">% TOC ácidos </t>
  </si>
  <si>
    <t>TIME</t>
  </si>
  <si>
    <t>Higher</t>
  </si>
  <si>
    <t>SMX</t>
  </si>
  <si>
    <t>ppm</t>
  </si>
  <si>
    <t>TOC (mg/l)</t>
  </si>
  <si>
    <t>Antipirina</t>
  </si>
  <si>
    <t>Conc (mg/L)</t>
  </si>
  <si>
    <t>Mw (g/mol)</t>
  </si>
  <si>
    <t>Formula</t>
  </si>
  <si>
    <t>nº C</t>
  </si>
  <si>
    <t>TOC inicial (mg/L)</t>
  </si>
  <si>
    <t>C10H11N3O3S</t>
  </si>
  <si>
    <t>ANT</t>
  </si>
  <si>
    <t>C11H12N2O</t>
  </si>
  <si>
    <t xml:space="preserve"> TOC queda*</t>
  </si>
  <si>
    <t>TOC carboxilicos</t>
  </si>
  <si>
    <t>Inicial</t>
  </si>
  <si>
    <t>% mineralización</t>
  </si>
  <si>
    <t>Balance Antipirina</t>
  </si>
  <si>
    <t>Balance Rhodamina</t>
  </si>
  <si>
    <t>* En la antipirina consideré el gráfico 8b que es el que encontré con ANT y a los 60 min la concentración se reduce a un 20%</t>
  </si>
  <si>
    <t>SMX solo</t>
  </si>
  <si>
    <t>Carboxilicos</t>
  </si>
  <si>
    <t>TOC</t>
  </si>
  <si>
    <t>Tiempo (min)</t>
  </si>
  <si>
    <t xml:space="preserve">SMX </t>
  </si>
  <si>
    <t>Oxalico</t>
  </si>
  <si>
    <t>Succinico</t>
  </si>
  <si>
    <t>Formico</t>
  </si>
  <si>
    <t>Acetico</t>
  </si>
  <si>
    <t>ANT solo</t>
  </si>
  <si>
    <t>Carboxílicos</t>
  </si>
  <si>
    <t>Mezcla</t>
  </si>
  <si>
    <t>Total carboxilicos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</si>
</sst>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E+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theme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3" borderId="5" applyNumberFormat="0" applyAlignment="0" applyProtection="0"/>
  </cellStyleXfs>
  <cellXfs count="84">
    <xf numFmtId="0" fontId="0" fillId="0" borderId="0" xfId="0"/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3" borderId="5" xfId="2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4" borderId="11" xfId="0" applyFill="1" applyBorder="1" applyAlignment="1">
      <alignment horizont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wrapText="1"/>
    </xf>
    <xf numFmtId="0" fontId="0" fillId="4" borderId="12" xfId="0" applyFill="1" applyBorder="1" applyAlignment="1">
      <alignment horizontal="center" vertical="center" wrapText="1"/>
    </xf>
    <xf numFmtId="0" fontId="0" fillId="5" borderId="2" xfId="0" applyFill="1" applyBorder="1"/>
    <xf numFmtId="0" fontId="0" fillId="5" borderId="4" xfId="0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0" fillId="5" borderId="3" xfId="0" applyFill="1" applyBorder="1"/>
    <xf numFmtId="0" fontId="0" fillId="5" borderId="4" xfId="0" applyFill="1" applyBorder="1"/>
    <xf numFmtId="10" fontId="1" fillId="5" borderId="13" xfId="1" applyNumberFormat="1" applyFont="1" applyFill="1" applyBorder="1"/>
    <xf numFmtId="0" fontId="0" fillId="5" borderId="14" xfId="0" applyFill="1" applyBorder="1" applyAlignment="1">
      <alignment horizontal="center" vertical="center"/>
    </xf>
    <xf numFmtId="0" fontId="0" fillId="5" borderId="15" xfId="0" applyFill="1" applyBorder="1"/>
    <xf numFmtId="0" fontId="0" fillId="5" borderId="16" xfId="0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2" fontId="0" fillId="5" borderId="18" xfId="0" applyNumberFormat="1" applyFill="1" applyBorder="1" applyAlignment="1">
      <alignment horizontal="center" vertical="center"/>
    </xf>
    <xf numFmtId="164" fontId="4" fillId="5" borderId="19" xfId="0" applyNumberFormat="1" applyFont="1" applyFill="1" applyBorder="1"/>
    <xf numFmtId="0" fontId="0" fillId="6" borderId="21" xfId="0" applyFill="1" applyBorder="1" applyAlignment="1">
      <alignment horizontal="center" vertical="center"/>
    </xf>
    <xf numFmtId="0" fontId="0" fillId="6" borderId="2" xfId="0" applyFill="1" applyBorder="1"/>
    <xf numFmtId="0" fontId="0" fillId="6" borderId="4" xfId="0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165" fontId="4" fillId="6" borderId="13" xfId="0" applyNumberFormat="1" applyFont="1" applyFill="1" applyBorder="1" applyAlignment="1">
      <alignment horizontal="center" vertical="center"/>
    </xf>
    <xf numFmtId="0" fontId="0" fillId="6" borderId="3" xfId="0" applyFill="1" applyBorder="1"/>
    <xf numFmtId="0" fontId="7" fillId="6" borderId="4" xfId="0" applyFont="1" applyFill="1" applyBorder="1"/>
    <xf numFmtId="0" fontId="0" fillId="6" borderId="14" xfId="0" applyFill="1" applyBorder="1" applyAlignment="1">
      <alignment horizontal="center" vertical="center"/>
    </xf>
    <xf numFmtId="0" fontId="0" fillId="6" borderId="15" xfId="0" applyFill="1" applyBorder="1"/>
    <xf numFmtId="0" fontId="0" fillId="6" borderId="16" xfId="0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2" fontId="0" fillId="6" borderId="18" xfId="0" applyNumberFormat="1" applyFill="1" applyBorder="1" applyAlignment="1">
      <alignment horizontal="center" vertical="center"/>
    </xf>
    <xf numFmtId="164" fontId="4" fillId="6" borderId="19" xfId="0" applyNumberFormat="1" applyFont="1" applyFill="1" applyBorder="1"/>
    <xf numFmtId="0" fontId="0" fillId="2" borderId="22" xfId="0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5" borderId="30" xfId="0" applyFill="1" applyBorder="1" applyAlignment="1">
      <alignment horizontal="center" vertical="center"/>
    </xf>
    <xf numFmtId="0" fontId="2" fillId="0" borderId="31" xfId="0" applyFont="1" applyBorder="1" applyAlignment="1">
      <alignment vertical="center" wrapText="1"/>
    </xf>
    <xf numFmtId="0" fontId="0" fillId="0" borderId="6" xfId="0" applyBorder="1"/>
    <xf numFmtId="0" fontId="2" fillId="0" borderId="32" xfId="0" applyFont="1" applyBorder="1" applyAlignment="1">
      <alignment vertical="center" wrapText="1"/>
    </xf>
    <xf numFmtId="0" fontId="0" fillId="0" borderId="9" xfId="0" applyBorder="1"/>
    <xf numFmtId="10" fontId="4" fillId="5" borderId="20" xfId="1" applyNumberFormat="1" applyFont="1" applyFill="1" applyBorder="1" applyAlignment="1">
      <alignment vertical="center"/>
    </xf>
    <xf numFmtId="10" fontId="7" fillId="6" borderId="13" xfId="1" applyNumberFormat="1" applyFont="1" applyFill="1" applyBorder="1" applyAlignment="1">
      <alignment vertical="center"/>
    </xf>
    <xf numFmtId="10" fontId="4" fillId="6" borderId="20" xfId="1" applyNumberFormat="1" applyFont="1" applyFill="1" applyBorder="1" applyAlignment="1">
      <alignment vertical="center"/>
    </xf>
    <xf numFmtId="0" fontId="0" fillId="0" borderId="31" xfId="0" applyBorder="1"/>
    <xf numFmtId="0" fontId="0" fillId="0" borderId="33" xfId="0" applyBorder="1"/>
    <xf numFmtId="0" fontId="0" fillId="0" borderId="33" xfId="0" applyBorder="1" applyAlignment="1">
      <alignment horizontal="center"/>
    </xf>
    <xf numFmtId="0" fontId="2" fillId="0" borderId="33" xfId="0" applyFont="1" applyBorder="1"/>
    <xf numFmtId="0" fontId="0" fillId="0" borderId="34" xfId="0" applyBorder="1"/>
    <xf numFmtId="0" fontId="0" fillId="0" borderId="32" xfId="0" applyBorder="1"/>
    <xf numFmtId="0" fontId="0" fillId="0" borderId="35" xfId="0" applyBorder="1"/>
    <xf numFmtId="0" fontId="0" fillId="0" borderId="35" xfId="0" applyBorder="1" applyAlignment="1">
      <alignment horizontal="center"/>
    </xf>
    <xf numFmtId="0" fontId="0" fillId="0" borderId="36" xfId="0" applyBorder="1"/>
    <xf numFmtId="2" fontId="0" fillId="0" borderId="33" xfId="0" applyNumberFormat="1" applyBorder="1" applyAlignment="1">
      <alignment horizontal="center"/>
    </xf>
    <xf numFmtId="2" fontId="0" fillId="0" borderId="33" xfId="0" applyNumberFormat="1" applyBorder="1"/>
    <xf numFmtId="2" fontId="0" fillId="0" borderId="35" xfId="0" applyNumberFormat="1" applyBorder="1"/>
    <xf numFmtId="0" fontId="0" fillId="0" borderId="37" xfId="0" applyBorder="1"/>
    <xf numFmtId="0" fontId="0" fillId="0" borderId="38" xfId="0" applyBorder="1"/>
    <xf numFmtId="0" fontId="0" fillId="0" borderId="38" xfId="0" applyBorder="1" applyAlignment="1">
      <alignment horizontal="center"/>
    </xf>
    <xf numFmtId="0" fontId="0" fillId="0" borderId="39" xfId="0" applyBorder="1"/>
    <xf numFmtId="2" fontId="0" fillId="0" borderId="31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</cellXfs>
  <cellStyles count="3">
    <cellStyle name="Entrada" xfId="2" builtinId="20"/>
    <cellStyle name="Normal" xfId="0" builtinId="0"/>
    <cellStyle name="Porcentaje" xfId="1" builtinId="5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4"/>
  <sheetViews>
    <sheetView tabSelected="1" topLeftCell="A43" zoomScale="74" zoomScaleNormal="90" workbookViewId="0">
      <selection activeCell="M64" sqref="M64:P64"/>
    </sheetView>
  </sheetViews>
  <sheetFormatPr defaultColWidth="11.42578125" defaultRowHeight="14.45"/>
  <cols>
    <col min="1" max="1" width="20.140625" customWidth="1"/>
    <col min="2" max="2" width="12.5703125" customWidth="1"/>
    <col min="3" max="3" width="15.5703125" customWidth="1"/>
    <col min="4" max="4" width="14.140625" customWidth="1"/>
    <col min="10" max="10" width="25.5703125" customWidth="1"/>
    <col min="11" max="11" width="18.5703125" customWidth="1"/>
    <col min="12" max="12" width="15.42578125" customWidth="1"/>
  </cols>
  <sheetData>
    <row r="1" spans="1:14" ht="15" thickBot="1">
      <c r="C1" s="79"/>
      <c r="D1" s="79"/>
      <c r="E1" s="79"/>
      <c r="F1" s="79"/>
      <c r="G1" s="79"/>
      <c r="H1" s="79"/>
      <c r="I1" s="79"/>
      <c r="J1" s="79"/>
      <c r="K1" s="79"/>
    </row>
    <row r="2" spans="1:14" ht="15" thickBot="1">
      <c r="C2" s="44" t="s">
        <v>0</v>
      </c>
      <c r="D2" s="45" t="s">
        <v>1</v>
      </c>
      <c r="E2" s="46" t="s">
        <v>2</v>
      </c>
      <c r="F2" s="46" t="s">
        <v>3</v>
      </c>
      <c r="G2" s="46" t="s">
        <v>4</v>
      </c>
      <c r="H2" s="46" t="s">
        <v>5</v>
      </c>
      <c r="I2" s="47" t="s">
        <v>6</v>
      </c>
      <c r="L2" s="80" t="s">
        <v>7</v>
      </c>
      <c r="M2" s="80"/>
      <c r="N2" s="80"/>
    </row>
    <row r="3" spans="1:14">
      <c r="A3" s="81" t="s">
        <v>8</v>
      </c>
      <c r="B3" s="48" t="s">
        <v>9</v>
      </c>
      <c r="C3" s="2">
        <v>90.03</v>
      </c>
      <c r="D3" s="3">
        <v>104.06</v>
      </c>
      <c r="E3" s="2">
        <v>118.09</v>
      </c>
      <c r="F3" s="2">
        <v>76.05</v>
      </c>
      <c r="G3" s="2">
        <v>46.03</v>
      </c>
      <c r="H3" s="2">
        <v>60.05</v>
      </c>
      <c r="I3" s="4">
        <v>89.05</v>
      </c>
      <c r="J3" s="5"/>
      <c r="L3" s="80"/>
      <c r="M3" s="80"/>
      <c r="N3" s="80"/>
    </row>
    <row r="4" spans="1:14">
      <c r="A4" s="81"/>
      <c r="B4" s="49" t="s">
        <v>10</v>
      </c>
      <c r="C4" s="1">
        <v>2</v>
      </c>
      <c r="D4" s="6">
        <v>3</v>
      </c>
      <c r="E4" s="1">
        <v>4</v>
      </c>
      <c r="F4" s="1">
        <v>2</v>
      </c>
      <c r="G4" s="1">
        <v>1</v>
      </c>
      <c r="H4" s="1">
        <v>2</v>
      </c>
      <c r="I4" s="7">
        <v>2</v>
      </c>
      <c r="J4" s="5"/>
      <c r="L4" s="8"/>
      <c r="M4" s="8"/>
      <c r="N4" s="8"/>
    </row>
    <row r="5" spans="1:14" ht="15" thickBot="1">
      <c r="A5" s="81"/>
      <c r="B5" s="50" t="s">
        <v>11</v>
      </c>
      <c r="C5" s="51">
        <f>C4*12</f>
        <v>24</v>
      </c>
      <c r="D5" s="52">
        <f t="shared" ref="D5:I5" si="0">D4*12</f>
        <v>36</v>
      </c>
      <c r="E5" s="51">
        <f t="shared" si="0"/>
        <v>48</v>
      </c>
      <c r="F5" s="51">
        <f t="shared" si="0"/>
        <v>24</v>
      </c>
      <c r="G5" s="51">
        <f t="shared" si="0"/>
        <v>12</v>
      </c>
      <c r="H5" s="51">
        <f t="shared" si="0"/>
        <v>24</v>
      </c>
      <c r="I5" s="53">
        <f t="shared" si="0"/>
        <v>24</v>
      </c>
      <c r="J5" s="5"/>
      <c r="L5" s="9"/>
      <c r="M5" s="9"/>
      <c r="N5" s="9"/>
    </row>
    <row r="6" spans="1:14" ht="40.700000000000003" customHeight="1">
      <c r="A6" s="55" t="s">
        <v>12</v>
      </c>
      <c r="B6" s="56" t="s">
        <v>13</v>
      </c>
      <c r="C6" s="2">
        <v>1</v>
      </c>
      <c r="D6" s="2">
        <v>1</v>
      </c>
      <c r="E6" s="2">
        <v>1</v>
      </c>
      <c r="F6" s="2">
        <v>1</v>
      </c>
      <c r="G6" s="2">
        <v>1</v>
      </c>
      <c r="H6" s="2">
        <v>1</v>
      </c>
      <c r="I6" s="4">
        <v>0.1</v>
      </c>
      <c r="J6" s="12" t="s">
        <v>14</v>
      </c>
      <c r="K6" s="82" t="s">
        <v>15</v>
      </c>
      <c r="L6" s="13" t="s">
        <v>16</v>
      </c>
    </row>
    <row r="7" spans="1:14" ht="15" thickBot="1">
      <c r="A7" s="57" t="s">
        <v>17</v>
      </c>
      <c r="B7" s="58" t="s">
        <v>18</v>
      </c>
      <c r="C7" s="10">
        <v>100</v>
      </c>
      <c r="D7" s="10">
        <v>100</v>
      </c>
      <c r="E7" s="10">
        <v>100</v>
      </c>
      <c r="F7" s="10">
        <v>100</v>
      </c>
      <c r="G7" s="10">
        <v>100</v>
      </c>
      <c r="H7" s="10">
        <v>100</v>
      </c>
      <c r="I7" s="11">
        <v>10</v>
      </c>
      <c r="J7" s="14"/>
      <c r="K7" s="83"/>
      <c r="L7" s="15"/>
    </row>
    <row r="8" spans="1:14">
      <c r="A8" s="54" t="s">
        <v>19</v>
      </c>
      <c r="B8" s="16" t="s">
        <v>20</v>
      </c>
      <c r="C8" s="17">
        <v>3.38</v>
      </c>
      <c r="D8" s="18"/>
      <c r="E8" s="17">
        <v>0.85</v>
      </c>
      <c r="F8" s="17"/>
      <c r="G8" s="17">
        <v>0.37</v>
      </c>
      <c r="H8" s="17">
        <v>0.61</v>
      </c>
      <c r="I8" s="19"/>
      <c r="J8" s="20"/>
      <c r="K8" s="21"/>
      <c r="L8" s="22"/>
    </row>
    <row r="9" spans="1:14" ht="15" thickBot="1">
      <c r="A9" s="23"/>
      <c r="B9" s="24" t="s">
        <v>21</v>
      </c>
      <c r="C9" s="25">
        <f>C8*$C$5/$C$3</f>
        <v>0.90103298900366546</v>
      </c>
      <c r="D9" s="26">
        <f t="shared" ref="D9:I9" si="1">D8*D$5/D$3</f>
        <v>0</v>
      </c>
      <c r="E9" s="25">
        <f>E8*$E$5/$E$3</f>
        <v>0.3454991955288339</v>
      </c>
      <c r="F9" s="25">
        <f t="shared" si="1"/>
        <v>0</v>
      </c>
      <c r="G9" s="25">
        <f>G8*$G$5/$G$3</f>
        <v>9.6458831197045389E-2</v>
      </c>
      <c r="H9" s="25">
        <f>H8*$H$5/$H$3</f>
        <v>0.24379683597002499</v>
      </c>
      <c r="I9" s="27">
        <f t="shared" si="1"/>
        <v>0</v>
      </c>
      <c r="J9" s="28">
        <f>SUM(C9:I9)</f>
        <v>1.5867878516995697</v>
      </c>
      <c r="K9" s="29">
        <f>+F16</f>
        <v>23.623907394283016</v>
      </c>
      <c r="L9" s="59">
        <f>J9/K9</f>
        <v>6.7168729762442786E-2</v>
      </c>
    </row>
    <row r="10" spans="1:14" ht="15" thickTop="1">
      <c r="A10" s="30" t="s">
        <v>22</v>
      </c>
      <c r="B10" s="31" t="s">
        <v>20</v>
      </c>
      <c r="C10" s="32"/>
      <c r="D10" s="33"/>
      <c r="E10" s="32"/>
      <c r="F10" s="32"/>
      <c r="G10" s="32"/>
      <c r="H10" s="32"/>
      <c r="I10" s="34"/>
      <c r="J10" s="35"/>
      <c r="K10" s="36"/>
      <c r="L10" s="60"/>
    </row>
    <row r="11" spans="1:14" ht="15" thickBot="1">
      <c r="A11" s="37"/>
      <c r="B11" s="38" t="s">
        <v>21</v>
      </c>
      <c r="C11" s="39">
        <f>C10*C$5/C$3</f>
        <v>0</v>
      </c>
      <c r="D11" s="40">
        <f t="shared" ref="C11:I11" si="2">D10*D$5/D$3</f>
        <v>0</v>
      </c>
      <c r="E11" s="39">
        <f t="shared" si="2"/>
        <v>0</v>
      </c>
      <c r="F11" s="39">
        <f t="shared" si="2"/>
        <v>0</v>
      </c>
      <c r="G11" s="39">
        <f t="shared" si="2"/>
        <v>0</v>
      </c>
      <c r="H11" s="39">
        <f t="shared" si="2"/>
        <v>0</v>
      </c>
      <c r="I11" s="41">
        <f t="shared" si="2"/>
        <v>0</v>
      </c>
      <c r="J11" s="42">
        <f>SUM(C11:I11)</f>
        <v>0</v>
      </c>
      <c r="K11" s="43">
        <f>+F17</f>
        <v>35.06423129642026</v>
      </c>
      <c r="L11" s="61">
        <f>J11/K11</f>
        <v>0</v>
      </c>
    </row>
    <row r="12" spans="1:14" ht="15" thickTop="1"/>
    <row r="14" spans="1:14" ht="15" thickBot="1"/>
    <row r="15" spans="1:14" ht="15" thickBot="1">
      <c r="B15" s="62" t="s">
        <v>23</v>
      </c>
      <c r="C15" s="63" t="s">
        <v>24</v>
      </c>
      <c r="D15" s="63" t="s">
        <v>25</v>
      </c>
      <c r="E15" s="64" t="s">
        <v>26</v>
      </c>
      <c r="F15" s="65" t="s">
        <v>27</v>
      </c>
      <c r="G15" s="66"/>
    </row>
    <row r="16" spans="1:14">
      <c r="A16" s="62" t="s">
        <v>19</v>
      </c>
      <c r="B16" s="62">
        <v>50</v>
      </c>
      <c r="C16" s="63">
        <v>253.98</v>
      </c>
      <c r="D16" s="63" t="s">
        <v>28</v>
      </c>
      <c r="E16" s="64">
        <v>10</v>
      </c>
      <c r="F16" s="63">
        <f>+(B16/$C$16)*$E$16*12</f>
        <v>23.623907394283016</v>
      </c>
      <c r="G16" s="66"/>
    </row>
    <row r="17" spans="1:17" ht="15" thickBot="1">
      <c r="A17" s="67" t="s">
        <v>29</v>
      </c>
      <c r="B17" s="67">
        <v>50</v>
      </c>
      <c r="C17" s="68">
        <v>188.226</v>
      </c>
      <c r="D17" s="68" t="s">
        <v>30</v>
      </c>
      <c r="E17" s="69">
        <v>11</v>
      </c>
      <c r="F17" s="68">
        <f>+(B17/$C$17)*$E$17*12</f>
        <v>35.06423129642026</v>
      </c>
      <c r="G17" s="70"/>
    </row>
    <row r="18" spans="1:17">
      <c r="F18">
        <f>F16+F17</f>
        <v>58.688138690703276</v>
      </c>
    </row>
    <row r="19" spans="1:17" ht="15" thickBot="1"/>
    <row r="20" spans="1:17" ht="15" thickBot="1">
      <c r="B20" s="74" t="s">
        <v>31</v>
      </c>
      <c r="C20" s="75" t="s">
        <v>32</v>
      </c>
      <c r="D20" s="76" t="s">
        <v>33</v>
      </c>
      <c r="E20" s="75" t="s">
        <v>34</v>
      </c>
      <c r="F20" s="77"/>
    </row>
    <row r="21" spans="1:17">
      <c r="A21" s="62" t="s">
        <v>35</v>
      </c>
      <c r="B21" s="78">
        <f>0.2*F17</f>
        <v>7.0128462592840526</v>
      </c>
      <c r="C21" s="71">
        <f>+J11</f>
        <v>0</v>
      </c>
      <c r="D21" s="72">
        <f>+F17</f>
        <v>35.06423129642026</v>
      </c>
      <c r="E21" s="72">
        <f>100*(1-SUM(B21:C21)/D21)</f>
        <v>80</v>
      </c>
      <c r="F21" s="66"/>
    </row>
    <row r="22" spans="1:17" ht="15" thickBot="1">
      <c r="A22" s="67" t="s">
        <v>36</v>
      </c>
      <c r="B22" s="67">
        <v>0</v>
      </c>
      <c r="C22" s="73">
        <f>+J9</f>
        <v>1.5867878516995697</v>
      </c>
      <c r="D22" s="73">
        <f>+F16</f>
        <v>23.623907394283016</v>
      </c>
      <c r="E22" s="73">
        <f>100*(1-SUM(B22:C22)/D22)</f>
        <v>93.283127023755725</v>
      </c>
      <c r="F22" s="70"/>
    </row>
    <row r="24" spans="1:17">
      <c r="A24" t="s">
        <v>37</v>
      </c>
    </row>
    <row r="28" spans="1:17">
      <c r="B28" t="s">
        <v>38</v>
      </c>
      <c r="C28" t="s">
        <v>39</v>
      </c>
      <c r="J28" t="s">
        <v>38</v>
      </c>
      <c r="K28" t="s">
        <v>40</v>
      </c>
    </row>
    <row r="30" spans="1:17">
      <c r="B30" t="s">
        <v>41</v>
      </c>
      <c r="C30" t="s">
        <v>42</v>
      </c>
      <c r="D30" t="s">
        <v>29</v>
      </c>
      <c r="E30" t="s">
        <v>43</v>
      </c>
      <c r="F30" t="s">
        <v>44</v>
      </c>
      <c r="G30" t="s">
        <v>45</v>
      </c>
      <c r="H30" t="s">
        <v>46</v>
      </c>
      <c r="J30" t="s">
        <v>41</v>
      </c>
      <c r="K30" t="s">
        <v>42</v>
      </c>
      <c r="L30" t="s">
        <v>29</v>
      </c>
      <c r="M30" t="s">
        <v>43</v>
      </c>
      <c r="N30" t="s">
        <v>44</v>
      </c>
      <c r="O30" t="s">
        <v>45</v>
      </c>
      <c r="P30" t="s">
        <v>46</v>
      </c>
    </row>
    <row r="31" spans="1:17">
      <c r="B31">
        <v>0</v>
      </c>
      <c r="C31">
        <v>48.67</v>
      </c>
      <c r="E31">
        <v>0</v>
      </c>
      <c r="F31">
        <v>0</v>
      </c>
      <c r="G31">
        <v>0</v>
      </c>
      <c r="H31">
        <v>0</v>
      </c>
      <c r="J31">
        <v>0</v>
      </c>
      <c r="K31">
        <f>+(C31/$C$16)*$E$16*12</f>
        <v>22.995511457595089</v>
      </c>
      <c r="M31">
        <f>E31*$C$5/$C$3</f>
        <v>0</v>
      </c>
      <c r="N31">
        <f>F31*$E$5/$E$3</f>
        <v>0</v>
      </c>
      <c r="O31">
        <f>G31*$G$5/$G$3</f>
        <v>0</v>
      </c>
      <c r="P31">
        <f>H31*$H$5/$H$3</f>
        <v>0</v>
      </c>
      <c r="Q31">
        <f>M31+N31+O31+P31</f>
        <v>0</v>
      </c>
    </row>
    <row r="32" spans="1:17">
      <c r="B32">
        <v>15</v>
      </c>
      <c r="C32">
        <v>38.93</v>
      </c>
      <c r="E32">
        <v>1.81</v>
      </c>
      <c r="F32">
        <v>1.18</v>
      </c>
      <c r="G32">
        <v>0.08</v>
      </c>
      <c r="H32">
        <v>1.36</v>
      </c>
      <c r="J32">
        <v>15</v>
      </c>
      <c r="K32">
        <f t="shared" ref="K32:K38" si="3">+(C32/$C$16)*$E$16*12</f>
        <v>18.393574297188756</v>
      </c>
      <c r="M32">
        <f t="shared" ref="M32:M38" si="4">E32*$C$5/$C$3</f>
        <v>0.48250583138953679</v>
      </c>
      <c r="N32">
        <f t="shared" ref="N32:N38" si="5">F32*$E$5/$E$3</f>
        <v>0.47963417732238123</v>
      </c>
      <c r="O32">
        <f t="shared" ref="O32:O38" si="6">G32*$G$5/$G$3</f>
        <v>2.0855963502063871E-2</v>
      </c>
      <c r="P32">
        <f t="shared" ref="P32:P38" si="7">H32*$H$5/$H$3</f>
        <v>0.54354704412989174</v>
      </c>
      <c r="Q32">
        <f t="shared" ref="Q32:Q38" si="8">M32+N32+O32+P32</f>
        <v>1.5265430163438736</v>
      </c>
    </row>
    <row r="33" spans="2:17">
      <c r="B33">
        <v>30</v>
      </c>
      <c r="C33">
        <v>28.74</v>
      </c>
      <c r="E33">
        <v>5.53</v>
      </c>
      <c r="F33">
        <v>2.0499999999999998</v>
      </c>
      <c r="G33">
        <v>1.1599999999999999</v>
      </c>
      <c r="H33">
        <v>10.039999999999999</v>
      </c>
      <c r="J33">
        <v>30</v>
      </c>
      <c r="K33">
        <f t="shared" si="3"/>
        <v>13.579021970233878</v>
      </c>
      <c r="M33">
        <f t="shared" si="4"/>
        <v>1.4741752749083639</v>
      </c>
      <c r="N33">
        <f t="shared" si="5"/>
        <v>0.8332627656871876</v>
      </c>
      <c r="O33">
        <f t="shared" si="6"/>
        <v>0.30241147077992608</v>
      </c>
      <c r="P33">
        <f t="shared" si="7"/>
        <v>4.0126561199000834</v>
      </c>
      <c r="Q33">
        <f t="shared" si="8"/>
        <v>6.6225056312755601</v>
      </c>
    </row>
    <row r="34" spans="2:17">
      <c r="B34">
        <v>60</v>
      </c>
      <c r="C34">
        <v>14.3</v>
      </c>
      <c r="E34">
        <v>10.09</v>
      </c>
      <c r="F34">
        <v>1.89</v>
      </c>
      <c r="G34">
        <v>3.38</v>
      </c>
      <c r="H34">
        <v>12.67</v>
      </c>
      <c r="J34">
        <v>60</v>
      </c>
      <c r="K34">
        <f t="shared" si="3"/>
        <v>6.7564375147649418</v>
      </c>
      <c r="M34">
        <f t="shared" si="4"/>
        <v>2.6897700766411194</v>
      </c>
      <c r="N34">
        <f t="shared" si="5"/>
        <v>0.76822762299940717</v>
      </c>
      <c r="O34">
        <f t="shared" si="6"/>
        <v>0.88116445796219856</v>
      </c>
      <c r="P34">
        <f t="shared" si="7"/>
        <v>5.0637801831806826</v>
      </c>
      <c r="Q34">
        <f t="shared" si="8"/>
        <v>9.4029423407834081</v>
      </c>
    </row>
    <row r="35" spans="2:17">
      <c r="B35">
        <v>90</v>
      </c>
      <c r="C35">
        <v>7.8</v>
      </c>
      <c r="E35">
        <v>11.11</v>
      </c>
      <c r="F35">
        <v>2.41</v>
      </c>
      <c r="G35">
        <v>2.72</v>
      </c>
      <c r="H35">
        <v>10.56</v>
      </c>
      <c r="J35">
        <v>90</v>
      </c>
      <c r="K35">
        <f t="shared" si="3"/>
        <v>3.6853295535081507</v>
      </c>
      <c r="M35">
        <f t="shared" si="4"/>
        <v>2.9616794401866042</v>
      </c>
      <c r="N35">
        <f t="shared" si="5"/>
        <v>0.97959183673469385</v>
      </c>
      <c r="O35">
        <f t="shared" si="6"/>
        <v>0.70910275907017162</v>
      </c>
      <c r="P35">
        <f t="shared" si="7"/>
        <v>4.220482930890924</v>
      </c>
      <c r="Q35">
        <f t="shared" si="8"/>
        <v>8.8708569668823927</v>
      </c>
    </row>
    <row r="36" spans="2:17">
      <c r="B36">
        <v>120</v>
      </c>
      <c r="C36">
        <v>4.5</v>
      </c>
      <c r="E36">
        <v>13.18</v>
      </c>
      <c r="F36">
        <v>2.56</v>
      </c>
      <c r="G36">
        <v>2.79</v>
      </c>
      <c r="H36">
        <v>8.09</v>
      </c>
      <c r="J36">
        <v>120</v>
      </c>
      <c r="K36">
        <f t="shared" si="3"/>
        <v>2.1261516654854713</v>
      </c>
      <c r="M36">
        <f t="shared" si="4"/>
        <v>3.5134955014995</v>
      </c>
      <c r="N36">
        <f t="shared" si="5"/>
        <v>1.0405622830044881</v>
      </c>
      <c r="O36">
        <f t="shared" si="6"/>
        <v>0.7273517271344776</v>
      </c>
      <c r="P36">
        <f t="shared" si="7"/>
        <v>3.2333055786844298</v>
      </c>
      <c r="Q36">
        <f t="shared" si="8"/>
        <v>8.5147150903228948</v>
      </c>
    </row>
    <row r="37" spans="2:17">
      <c r="B37">
        <v>180</v>
      </c>
      <c r="C37">
        <v>1.91</v>
      </c>
      <c r="E37">
        <v>20.28</v>
      </c>
      <c r="F37">
        <v>1.71</v>
      </c>
      <c r="G37">
        <v>2.23</v>
      </c>
      <c r="H37">
        <v>5.59</v>
      </c>
      <c r="J37">
        <v>180</v>
      </c>
      <c r="K37">
        <f t="shared" si="3"/>
        <v>0.90243326246161126</v>
      </c>
      <c r="M37">
        <f t="shared" si="4"/>
        <v>5.4061979340219928</v>
      </c>
      <c r="N37">
        <f t="shared" si="5"/>
        <v>0.69506308747565415</v>
      </c>
      <c r="O37">
        <f t="shared" si="6"/>
        <v>0.5813599826200303</v>
      </c>
      <c r="P37">
        <f t="shared" si="7"/>
        <v>2.2341382181515406</v>
      </c>
      <c r="Q37">
        <f t="shared" si="8"/>
        <v>8.9167592222692189</v>
      </c>
    </row>
    <row r="38" spans="2:17">
      <c r="B38">
        <v>240</v>
      </c>
      <c r="C38">
        <v>0.72</v>
      </c>
      <c r="E38">
        <v>21.17</v>
      </c>
      <c r="F38">
        <v>2.14</v>
      </c>
      <c r="G38">
        <v>2.85</v>
      </c>
      <c r="H38">
        <v>1.24</v>
      </c>
      <c r="J38">
        <v>240</v>
      </c>
      <c r="K38">
        <f>+(C38/$C$16)*$E$16*12</f>
        <v>0.34018426647767541</v>
      </c>
      <c r="M38">
        <f t="shared" si="4"/>
        <v>5.6434521826057988</v>
      </c>
      <c r="N38">
        <f t="shared" si="5"/>
        <v>0.86984503344906428</v>
      </c>
      <c r="O38">
        <f t="shared" si="6"/>
        <v>0.74299369976102547</v>
      </c>
      <c r="P38">
        <f t="shared" si="7"/>
        <v>0.49558701082431306</v>
      </c>
      <c r="Q38">
        <f t="shared" si="8"/>
        <v>7.7518779266402023</v>
      </c>
    </row>
    <row r="41" spans="2:17">
      <c r="B41" t="s">
        <v>47</v>
      </c>
      <c r="C41" t="s">
        <v>48</v>
      </c>
      <c r="J41" t="s">
        <v>47</v>
      </c>
      <c r="K41" t="s">
        <v>40</v>
      </c>
    </row>
    <row r="43" spans="2:17">
      <c r="B43" t="s">
        <v>41</v>
      </c>
      <c r="C43" t="s">
        <v>42</v>
      </c>
      <c r="D43" t="s">
        <v>29</v>
      </c>
      <c r="E43" t="s">
        <v>43</v>
      </c>
      <c r="F43" t="s">
        <v>44</v>
      </c>
      <c r="G43" t="s">
        <v>45</v>
      </c>
      <c r="H43" t="s">
        <v>46</v>
      </c>
      <c r="J43" t="s">
        <v>41</v>
      </c>
      <c r="K43" t="s">
        <v>42</v>
      </c>
      <c r="L43" t="s">
        <v>29</v>
      </c>
      <c r="M43" t="s">
        <v>43</v>
      </c>
      <c r="N43" t="s">
        <v>44</v>
      </c>
      <c r="O43" t="s">
        <v>45</v>
      </c>
      <c r="P43" t="s">
        <v>46</v>
      </c>
    </row>
    <row r="44" spans="2:17">
      <c r="B44">
        <v>0</v>
      </c>
      <c r="D44">
        <v>43.49</v>
      </c>
      <c r="E44">
        <v>0</v>
      </c>
      <c r="F44">
        <v>0</v>
      </c>
      <c r="G44">
        <v>0</v>
      </c>
      <c r="H44">
        <v>0</v>
      </c>
      <c r="J44">
        <v>0</v>
      </c>
      <c r="L44">
        <f>+(D44/$C$17)*$E$17*12</f>
        <v>30.498868381626345</v>
      </c>
      <c r="M44">
        <f>E44*$C$5/$C$3</f>
        <v>0</v>
      </c>
      <c r="N44">
        <f>F44*$E$5/$E$3</f>
        <v>0</v>
      </c>
      <c r="O44">
        <f>G44*$G$5/$G$3</f>
        <v>0</v>
      </c>
      <c r="P44">
        <f>H44*$H$5/$H$3</f>
        <v>0</v>
      </c>
      <c r="Q44">
        <f>M44+N44+O44+P44</f>
        <v>0</v>
      </c>
    </row>
    <row r="45" spans="2:17">
      <c r="B45">
        <v>15</v>
      </c>
      <c r="D45">
        <v>35.979999999999997</v>
      </c>
      <c r="E45">
        <v>1.27</v>
      </c>
      <c r="F45">
        <v>0.28699999999999998</v>
      </c>
      <c r="G45">
        <v>0.65</v>
      </c>
      <c r="H45">
        <v>1.51</v>
      </c>
      <c r="J45">
        <v>15</v>
      </c>
      <c r="L45">
        <f t="shared" ref="L45:L51" si="9">+(D45/$C$17)*$E$17*12</f>
        <v>25.23222084090402</v>
      </c>
      <c r="M45">
        <f t="shared" ref="M45:M51" si="10">E45*$C$5/$C$3</f>
        <v>0.3385538153948684</v>
      </c>
      <c r="N45">
        <f t="shared" ref="N45:N51" si="11">F45*$E$5/$E$3</f>
        <v>0.11665678719620629</v>
      </c>
      <c r="O45">
        <f t="shared" ref="O45:O51" si="12">G45*$G$5/$G$3</f>
        <v>0.16945470345426897</v>
      </c>
      <c r="P45">
        <f t="shared" ref="P45:P51" si="13">H45*$H$5/$H$3</f>
        <v>0.60349708576186523</v>
      </c>
      <c r="Q45">
        <f t="shared" ref="Q45:Q51" si="14">M45+N45+O45+P45</f>
        <v>1.2281623918072089</v>
      </c>
    </row>
    <row r="46" spans="2:17">
      <c r="B46">
        <v>30</v>
      </c>
      <c r="D46">
        <v>28.52</v>
      </c>
      <c r="E46">
        <v>0.3</v>
      </c>
      <c r="F46">
        <v>2.08</v>
      </c>
      <c r="G46">
        <v>1.7</v>
      </c>
      <c r="H46">
        <v>0.61</v>
      </c>
      <c r="J46">
        <v>30</v>
      </c>
      <c r="L46">
        <f t="shared" si="9"/>
        <v>20.000637531478116</v>
      </c>
      <c r="M46">
        <f t="shared" si="10"/>
        <v>7.9973342219260238E-2</v>
      </c>
      <c r="N46">
        <f t="shared" si="11"/>
        <v>0.84545685494114664</v>
      </c>
      <c r="O46">
        <f t="shared" si="12"/>
        <v>0.44318922441885722</v>
      </c>
      <c r="P46">
        <f t="shared" si="13"/>
        <v>0.24379683597002499</v>
      </c>
      <c r="Q46">
        <f t="shared" si="14"/>
        <v>1.6124162575492891</v>
      </c>
    </row>
    <row r="47" spans="2:17">
      <c r="B47">
        <v>60</v>
      </c>
      <c r="D47">
        <v>20.04</v>
      </c>
      <c r="E47">
        <v>6.57</v>
      </c>
      <c r="F47">
        <v>0.89</v>
      </c>
      <c r="G47">
        <v>3.33</v>
      </c>
      <c r="H47">
        <v>4.74</v>
      </c>
      <c r="J47">
        <v>60</v>
      </c>
      <c r="L47">
        <f t="shared" si="9"/>
        <v>14.053743903605241</v>
      </c>
      <c r="M47">
        <f t="shared" si="10"/>
        <v>1.7514161946017994</v>
      </c>
      <c r="N47">
        <f t="shared" si="11"/>
        <v>0.36175798120077907</v>
      </c>
      <c r="O47">
        <f t="shared" si="12"/>
        <v>0.86812948077340868</v>
      </c>
      <c r="P47">
        <f t="shared" si="13"/>
        <v>1.8944213155703582</v>
      </c>
      <c r="Q47">
        <f t="shared" si="14"/>
        <v>4.8757249721463456</v>
      </c>
    </row>
    <row r="48" spans="2:17">
      <c r="B48">
        <v>90</v>
      </c>
      <c r="D48">
        <v>17.079999999999998</v>
      </c>
      <c r="E48">
        <v>3.33</v>
      </c>
      <c r="F48">
        <v>1.42</v>
      </c>
      <c r="G48">
        <v>3.19</v>
      </c>
      <c r="H48">
        <v>1.69</v>
      </c>
      <c r="J48">
        <v>90</v>
      </c>
      <c r="L48">
        <f t="shared" si="9"/>
        <v>11.977941410857159</v>
      </c>
      <c r="M48">
        <f t="shared" si="10"/>
        <v>0.88770409863378874</v>
      </c>
      <c r="N48">
        <f t="shared" si="11"/>
        <v>0.57718689135405199</v>
      </c>
      <c r="O48">
        <f t="shared" si="12"/>
        <v>0.83163154464479683</v>
      </c>
      <c r="P48">
        <f t="shared" si="13"/>
        <v>0.67543713572023323</v>
      </c>
      <c r="Q48">
        <f t="shared" si="14"/>
        <v>2.9719596703528706</v>
      </c>
    </row>
    <row r="49" spans="2:17">
      <c r="B49">
        <v>120</v>
      </c>
      <c r="D49">
        <v>13.96</v>
      </c>
      <c r="E49">
        <v>11.3</v>
      </c>
      <c r="F49">
        <v>2.34</v>
      </c>
      <c r="G49">
        <v>1.76</v>
      </c>
      <c r="H49">
        <v>3.39</v>
      </c>
      <c r="J49">
        <v>120</v>
      </c>
      <c r="L49">
        <f t="shared" si="9"/>
        <v>9.7899333779605371</v>
      </c>
      <c r="M49">
        <f t="shared" si="10"/>
        <v>3.0123292235921366</v>
      </c>
      <c r="N49">
        <f t="shared" si="11"/>
        <v>0.95113896180878987</v>
      </c>
      <c r="O49">
        <f t="shared" si="12"/>
        <v>0.4588311970454052</v>
      </c>
      <c r="P49">
        <f t="shared" si="13"/>
        <v>1.3548709408825979</v>
      </c>
      <c r="Q49">
        <f t="shared" si="14"/>
        <v>5.7771703233289289</v>
      </c>
    </row>
    <row r="50" spans="2:17">
      <c r="B50">
        <v>180</v>
      </c>
      <c r="D50">
        <v>5.85</v>
      </c>
      <c r="E50">
        <v>11.14</v>
      </c>
      <c r="F50">
        <v>1.1399999999999999</v>
      </c>
      <c r="G50">
        <v>2.62</v>
      </c>
      <c r="H50">
        <v>4.6399999999999997</v>
      </c>
      <c r="J50">
        <v>180</v>
      </c>
      <c r="L50">
        <f t="shared" si="9"/>
        <v>4.1025150616811699</v>
      </c>
      <c r="M50">
        <f t="shared" si="10"/>
        <v>2.9696767744085304</v>
      </c>
      <c r="N50">
        <f t="shared" si="11"/>
        <v>0.46337539165043606</v>
      </c>
      <c r="O50">
        <f t="shared" si="12"/>
        <v>0.68303280469259176</v>
      </c>
      <c r="P50">
        <f t="shared" si="13"/>
        <v>1.8544546211490422</v>
      </c>
      <c r="Q50">
        <f t="shared" si="14"/>
        <v>5.9705395919006001</v>
      </c>
    </row>
    <row r="51" spans="2:17">
      <c r="B51">
        <v>240</v>
      </c>
      <c r="D51">
        <v>3.24</v>
      </c>
      <c r="E51">
        <v>4.8099999999999996</v>
      </c>
      <c r="F51">
        <v>6.25</v>
      </c>
      <c r="G51">
        <v>2.59</v>
      </c>
      <c r="H51">
        <v>2.91</v>
      </c>
      <c r="J51">
        <v>240</v>
      </c>
      <c r="L51">
        <f t="shared" si="9"/>
        <v>2.2721621880080334</v>
      </c>
      <c r="M51">
        <f t="shared" si="10"/>
        <v>1.2822392535821392</v>
      </c>
      <c r="N51">
        <f t="shared" si="11"/>
        <v>2.5404352612414258</v>
      </c>
      <c r="O51">
        <f t="shared" si="12"/>
        <v>0.67521181837931776</v>
      </c>
      <c r="P51">
        <f t="shared" si="13"/>
        <v>1.1630308076602831</v>
      </c>
      <c r="Q51">
        <f t="shared" si="14"/>
        <v>5.660917140863166</v>
      </c>
    </row>
    <row r="54" spans="2:17">
      <c r="B54" t="s">
        <v>49</v>
      </c>
      <c r="C54" t="s">
        <v>48</v>
      </c>
      <c r="J54" t="s">
        <v>49</v>
      </c>
      <c r="K54" t="s">
        <v>40</v>
      </c>
    </row>
    <row r="56" spans="2:17">
      <c r="B56" t="s">
        <v>41</v>
      </c>
      <c r="C56" t="s">
        <v>42</v>
      </c>
      <c r="D56" t="s">
        <v>29</v>
      </c>
      <c r="E56" t="s">
        <v>43</v>
      </c>
      <c r="F56" t="s">
        <v>44</v>
      </c>
      <c r="G56" t="s">
        <v>45</v>
      </c>
      <c r="H56" t="s">
        <v>46</v>
      </c>
      <c r="J56" t="s">
        <v>41</v>
      </c>
      <c r="K56" t="s">
        <v>42</v>
      </c>
      <c r="L56" t="s">
        <v>29</v>
      </c>
      <c r="M56" t="s">
        <v>43</v>
      </c>
      <c r="N56" t="s">
        <v>44</v>
      </c>
      <c r="O56" t="s">
        <v>45</v>
      </c>
      <c r="P56" t="s">
        <v>46</v>
      </c>
      <c r="Q56" t="s">
        <v>50</v>
      </c>
    </row>
    <row r="57" spans="2:17">
      <c r="B57">
        <v>0</v>
      </c>
      <c r="C57">
        <v>48.89</v>
      </c>
      <c r="D57">
        <v>48.34</v>
      </c>
      <c r="E57">
        <v>0</v>
      </c>
      <c r="F57">
        <v>0</v>
      </c>
      <c r="G57">
        <v>0</v>
      </c>
      <c r="H57">
        <v>0</v>
      </c>
      <c r="J57">
        <v>0</v>
      </c>
      <c r="K57">
        <f>+(C57/$C$16)*$E$16*12</f>
        <v>23.099456650129934</v>
      </c>
      <c r="L57">
        <f>+(D57/$C$17)*$E$17*12</f>
        <v>33.90009881737911</v>
      </c>
      <c r="M57">
        <f>E57*$C$5/$C$3</f>
        <v>0</v>
      </c>
      <c r="N57">
        <f>F57*$E$5/$E$3</f>
        <v>0</v>
      </c>
      <c r="O57">
        <f>G57*$G$5/$G$3</f>
        <v>0</v>
      </c>
      <c r="P57">
        <f>H57*$H$5/$H$3</f>
        <v>0</v>
      </c>
      <c r="Q57">
        <f>M57+N57+O57+P57</f>
        <v>0</v>
      </c>
    </row>
    <row r="58" spans="2:17">
      <c r="B58">
        <v>15</v>
      </c>
      <c r="C58">
        <v>38.96</v>
      </c>
      <c r="D58">
        <v>39.96</v>
      </c>
      <c r="E58">
        <v>3.18</v>
      </c>
      <c r="F58">
        <v>1.45</v>
      </c>
      <c r="G58">
        <v>1.2</v>
      </c>
      <c r="H58">
        <v>0.48</v>
      </c>
      <c r="J58">
        <v>15</v>
      </c>
      <c r="K58">
        <f t="shared" ref="K58:K64" si="15">+(C58/$C$16)*$E$16*12</f>
        <v>18.407748641625325</v>
      </c>
      <c r="L58">
        <f t="shared" ref="L58:L64" si="16">+(D58/$C$17)*$E$17*12</f>
        <v>28.023333652099073</v>
      </c>
      <c r="M58">
        <f t="shared" ref="M58:M64" si="17">E58*$C$5/$C$3</f>
        <v>0.84771742752415868</v>
      </c>
      <c r="N58">
        <f t="shared" ref="N58:N64" si="18">F58*$E$5/$E$3</f>
        <v>0.58938098060801081</v>
      </c>
      <c r="O58">
        <f t="shared" ref="O58:O64" si="19">G58*$G$5/$G$3</f>
        <v>0.31283945253095802</v>
      </c>
      <c r="P58">
        <f t="shared" ref="P58:P64" si="20">H58*$H$5/$H$3</f>
        <v>0.19184013322231475</v>
      </c>
      <c r="Q58">
        <f t="shared" ref="Q58:Q64" si="21">M58+N58+O58+P58</f>
        <v>1.9417779938854423</v>
      </c>
    </row>
    <row r="59" spans="2:17">
      <c r="B59">
        <v>30</v>
      </c>
      <c r="C59">
        <v>33.47</v>
      </c>
      <c r="D59">
        <v>36.33</v>
      </c>
      <c r="E59">
        <v>5.51</v>
      </c>
      <c r="F59">
        <v>1.42</v>
      </c>
      <c r="G59">
        <v>2.34</v>
      </c>
      <c r="H59">
        <v>1.26</v>
      </c>
      <c r="J59">
        <v>30</v>
      </c>
      <c r="K59">
        <f t="shared" si="15"/>
        <v>15.813843609733052</v>
      </c>
      <c r="L59">
        <f t="shared" si="16"/>
        <v>25.47767045997896</v>
      </c>
      <c r="M59">
        <f t="shared" si="17"/>
        <v>1.4688437187604133</v>
      </c>
      <c r="N59">
        <f t="shared" si="18"/>
        <v>0.57718689135405199</v>
      </c>
      <c r="O59">
        <f t="shared" si="19"/>
        <v>0.61003693243536816</v>
      </c>
      <c r="P59">
        <f t="shared" si="20"/>
        <v>0.50358034970857624</v>
      </c>
      <c r="Q59">
        <f t="shared" si="21"/>
        <v>3.1596478922584095</v>
      </c>
    </row>
    <row r="60" spans="2:17">
      <c r="B60">
        <v>60</v>
      </c>
      <c r="C60">
        <v>23.94</v>
      </c>
      <c r="D60">
        <v>28.49</v>
      </c>
      <c r="E60">
        <v>6.54</v>
      </c>
      <c r="F60">
        <v>0.94</v>
      </c>
      <c r="G60">
        <v>3.69</v>
      </c>
      <c r="H60">
        <v>10.210000000000001</v>
      </c>
      <c r="J60">
        <v>60</v>
      </c>
      <c r="K60">
        <f t="shared" si="15"/>
        <v>11.311126860382707</v>
      </c>
      <c r="L60">
        <f t="shared" si="16"/>
        <v>19.979598992700261</v>
      </c>
      <c r="M60">
        <f t="shared" si="17"/>
        <v>1.7434188603798735</v>
      </c>
      <c r="N60">
        <f t="shared" si="18"/>
        <v>0.38208146329071047</v>
      </c>
      <c r="O60">
        <f t="shared" si="19"/>
        <v>0.96198131653269603</v>
      </c>
      <c r="P60">
        <f t="shared" si="20"/>
        <v>4.0805995004163202</v>
      </c>
      <c r="Q60">
        <f t="shared" si="21"/>
        <v>7.1680811406196003</v>
      </c>
    </row>
    <row r="61" spans="2:17">
      <c r="B61">
        <v>90</v>
      </c>
      <c r="C61">
        <v>18.13</v>
      </c>
      <c r="D61">
        <v>21.44</v>
      </c>
      <c r="E61">
        <v>9.4499999999999993</v>
      </c>
      <c r="F61">
        <v>0.75</v>
      </c>
      <c r="G61">
        <v>4.79</v>
      </c>
      <c r="H61">
        <v>9.36</v>
      </c>
      <c r="J61">
        <v>90</v>
      </c>
      <c r="K61">
        <f t="shared" si="15"/>
        <v>8.5660288211670199</v>
      </c>
      <c r="L61">
        <f t="shared" si="16"/>
        <v>15.03554237990501</v>
      </c>
      <c r="M61">
        <f t="shared" si="17"/>
        <v>2.5191602799066977</v>
      </c>
      <c r="N61">
        <f t="shared" si="18"/>
        <v>0.3048522313489711</v>
      </c>
      <c r="O61">
        <f t="shared" si="19"/>
        <v>1.2487508146860744</v>
      </c>
      <c r="P61">
        <f t="shared" si="20"/>
        <v>3.7408825978351374</v>
      </c>
      <c r="Q61">
        <f t="shared" si="21"/>
        <v>7.8136459237768801</v>
      </c>
    </row>
    <row r="62" spans="2:17">
      <c r="B62">
        <v>120</v>
      </c>
      <c r="C62">
        <v>13.76</v>
      </c>
      <c r="D62">
        <v>16.559999999999999</v>
      </c>
      <c r="E62">
        <v>14.07</v>
      </c>
      <c r="F62">
        <v>0.88</v>
      </c>
      <c r="G62">
        <v>5.77</v>
      </c>
      <c r="H62">
        <v>3.09</v>
      </c>
      <c r="J62">
        <v>120</v>
      </c>
      <c r="K62">
        <f t="shared" si="15"/>
        <v>6.501299314906686</v>
      </c>
      <c r="L62">
        <f t="shared" si="16"/>
        <v>11.61327340537439</v>
      </c>
      <c r="M62">
        <f t="shared" si="17"/>
        <v>3.7507497500833056</v>
      </c>
      <c r="N62">
        <f t="shared" si="18"/>
        <v>0.35769328478279278</v>
      </c>
      <c r="O62">
        <f t="shared" si="19"/>
        <v>1.5042363675863566</v>
      </c>
      <c r="P62">
        <f t="shared" si="20"/>
        <v>1.2349708576186511</v>
      </c>
      <c r="Q62">
        <f t="shared" si="21"/>
        <v>6.8476502600711067</v>
      </c>
    </row>
    <row r="63" spans="2:17">
      <c r="B63">
        <v>180</v>
      </c>
      <c r="C63">
        <v>7.01</v>
      </c>
      <c r="D63">
        <v>10.199999999999999</v>
      </c>
      <c r="E63">
        <v>23.81</v>
      </c>
      <c r="F63">
        <v>2.16</v>
      </c>
      <c r="G63">
        <v>3.59</v>
      </c>
      <c r="H63">
        <v>3.51</v>
      </c>
      <c r="J63">
        <v>180</v>
      </c>
      <c r="K63">
        <f t="shared" si="15"/>
        <v>3.3120718166784782</v>
      </c>
      <c r="L63">
        <f t="shared" si="16"/>
        <v>7.1531031844697335</v>
      </c>
      <c r="M63">
        <f t="shared" si="17"/>
        <v>6.3472175941352873</v>
      </c>
      <c r="N63">
        <f t="shared" si="18"/>
        <v>0.87797442628503686</v>
      </c>
      <c r="O63">
        <f t="shared" si="19"/>
        <v>0.93591136215511617</v>
      </c>
      <c r="P63">
        <f t="shared" si="20"/>
        <v>1.4028309741881766</v>
      </c>
      <c r="Q63">
        <f t="shared" si="21"/>
        <v>9.5639343567636175</v>
      </c>
    </row>
    <row r="64" spans="2:17">
      <c r="B64">
        <v>240</v>
      </c>
      <c r="C64">
        <v>3.86</v>
      </c>
      <c r="D64">
        <v>6.08</v>
      </c>
      <c r="E64">
        <v>22.24</v>
      </c>
      <c r="F64">
        <v>1.7</v>
      </c>
      <c r="G64">
        <v>4.95</v>
      </c>
      <c r="H64">
        <v>6.81</v>
      </c>
      <c r="J64">
        <v>240</v>
      </c>
      <c r="K64">
        <f t="shared" si="15"/>
        <v>1.8237656508386486</v>
      </c>
      <c r="L64">
        <f t="shared" si="16"/>
        <v>4.2638105256447041</v>
      </c>
      <c r="M64">
        <f t="shared" si="17"/>
        <v>5.9286904365211592</v>
      </c>
      <c r="N64">
        <f t="shared" si="18"/>
        <v>0.6909983910576678</v>
      </c>
      <c r="O64">
        <f t="shared" si="19"/>
        <v>1.2904627416902021</v>
      </c>
      <c r="P64">
        <f t="shared" si="20"/>
        <v>2.7217318900915903</v>
      </c>
      <c r="Q64">
        <f t="shared" si="21"/>
        <v>10.631883459360619</v>
      </c>
    </row>
  </sheetData>
  <mergeCells count="4">
    <mergeCell ref="C1:K1"/>
    <mergeCell ref="L2:N3"/>
    <mergeCell ref="A3:A5"/>
    <mergeCell ref="K6:K7"/>
  </mergeCells>
  <conditionalFormatting sqref="C8:I8 C10:I10">
    <cfRule type="cellIs" dxfId="0" priority="3" operator="notBetween">
      <formula>C$6</formula>
      <formula>C$7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11" ma:contentTypeDescription="Crear nuevo documento." ma:contentTypeScope="" ma:versionID="8381ec61749bce38147d98a3dc601a49">
  <xsd:schema xmlns:xsd="http://www.w3.org/2001/XMLSchema" xmlns:xs="http://www.w3.org/2001/XMLSchema" xmlns:p="http://schemas.microsoft.com/office/2006/metadata/properties" xmlns:ns2="658a9569-0ce1-42cd-9d04-c3f1f5b9a174" xmlns:ns3="cc1733c5-517f-4419-9652-4c25b19977e7" targetNamespace="http://schemas.microsoft.com/office/2006/metadata/properties" ma:root="true" ma:fieldsID="0b47490e6a20afce16bb04a4b4632b32" ns2:_="" ns3:_="">
    <xsd:import namespace="658a9569-0ce1-42cd-9d04-c3f1f5b9a174"/>
    <xsd:import namespace="cc1733c5-517f-4419-9652-4c25b19977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a9569-0ce1-42cd-9d04-c3f1f5b9a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9842ecb2-9fd7-4b7d-9140-4ee1ebb34b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33c5-517f-4419-9652-4c25b19977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9d7ae3-f3ae-4489-beed-7c72fe58cc79}" ma:internalName="TaxCatchAll" ma:showField="CatchAllData" ma:web="cc1733c5-517f-4419-9652-4c25b19977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733c5-517f-4419-9652-4c25b19977e7" xsi:nil="true"/>
    <lcf76f155ced4ddcb4097134ff3c332f xmlns="658a9569-0ce1-42cd-9d04-c3f1f5b9a17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07F37F-1837-42D7-8786-5C0F64280FF0}"/>
</file>

<file path=customXml/itemProps2.xml><?xml version="1.0" encoding="utf-8"?>
<ds:datastoreItem xmlns:ds="http://schemas.openxmlformats.org/officeDocument/2006/customXml" ds:itemID="{F731B41C-618F-42BF-9895-21A8AD3670F3}"/>
</file>

<file path=customXml/itemProps3.xml><?xml version="1.0" encoding="utf-8"?>
<ds:datastoreItem xmlns:ds="http://schemas.openxmlformats.org/officeDocument/2006/customXml" ds:itemID="{1EB9F6B1-7D2F-4833-8244-977990C601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Antón</dc:creator>
  <cp:keywords/>
  <dc:description/>
  <cp:lastModifiedBy>Barbara Lomba Fernandez</cp:lastModifiedBy>
  <cp:revision/>
  <dcterms:created xsi:type="dcterms:W3CDTF">2020-09-09T07:44:37Z</dcterms:created>
  <dcterms:modified xsi:type="dcterms:W3CDTF">2025-05-15T11:22:18Z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  <property fmtid="{D5CDD505-2E9C-101B-9397-08002B2CF9AE}" pid="3" name="MediaServiceImageTags">
    <vt:lpwstr/>
  </property>
</Properties>
</file>